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105" windowWidth="14985" windowHeight="9255" activeTab="1"/>
  </bookViews>
  <sheets>
    <sheet name="简支板" sheetId="1" r:id="rId1"/>
    <sheet name="有效分布宽度" sheetId="5" r:id="rId2"/>
  </sheets>
  <calcPr calcId="125725"/>
</workbook>
</file>

<file path=xl/calcChain.xml><?xml version="1.0" encoding="utf-8"?>
<calcChain xmlns="http://schemas.openxmlformats.org/spreadsheetml/2006/main">
  <c r="H5" i="1"/>
  <c r="D6"/>
  <c r="H6"/>
  <c r="D7"/>
  <c r="E7"/>
  <c r="F7"/>
  <c r="G7"/>
  <c r="H7"/>
  <c r="I7"/>
  <c r="J7"/>
  <c r="K7"/>
  <c r="L7"/>
  <c r="M7"/>
  <c r="C8"/>
  <c r="D8"/>
  <c r="E8"/>
  <c r="F8"/>
  <c r="G8"/>
  <c r="H8"/>
  <c r="I8"/>
  <c r="J8"/>
  <c r="K8"/>
  <c r="L8"/>
  <c r="M8"/>
  <c r="H11"/>
  <c r="D12" s="1"/>
  <c r="H12"/>
  <c r="D13"/>
  <c r="E13"/>
  <c r="F13"/>
  <c r="G13"/>
  <c r="H13"/>
  <c r="I13"/>
  <c r="J13"/>
  <c r="K13"/>
  <c r="L13"/>
  <c r="M13"/>
  <c r="C14"/>
  <c r="D14"/>
  <c r="E14"/>
  <c r="F14"/>
  <c r="G14"/>
  <c r="H14"/>
  <c r="I14"/>
  <c r="J14"/>
  <c r="K14"/>
  <c r="L14"/>
  <c r="M14"/>
  <c r="H17"/>
  <c r="D18"/>
  <c r="H18"/>
  <c r="D19"/>
  <c r="E19"/>
  <c r="F19"/>
  <c r="G19"/>
  <c r="H19"/>
  <c r="I19"/>
  <c r="J19"/>
  <c r="K19"/>
  <c r="L19"/>
  <c r="M19"/>
  <c r="C20"/>
  <c r="D20"/>
  <c r="E20"/>
  <c r="F20"/>
  <c r="G20"/>
  <c r="H20"/>
  <c r="I20"/>
  <c r="J20"/>
  <c r="K20"/>
  <c r="L20"/>
  <c r="M20"/>
  <c r="D24"/>
  <c r="H24" s="1"/>
  <c r="H25"/>
  <c r="D26"/>
  <c r="E26"/>
  <c r="F26"/>
  <c r="G26"/>
  <c r="H26"/>
  <c r="I26"/>
  <c r="J26"/>
  <c r="K26"/>
  <c r="L26"/>
  <c r="M26"/>
  <c r="I27"/>
  <c r="J27"/>
  <c r="K27"/>
  <c r="L27"/>
  <c r="M27"/>
  <c r="D31"/>
  <c r="H31"/>
  <c r="D32" s="1"/>
  <c r="H32"/>
  <c r="D33"/>
  <c r="E33"/>
  <c r="F33"/>
  <c r="G33"/>
  <c r="H33"/>
  <c r="I33"/>
  <c r="J33"/>
  <c r="K33"/>
  <c r="L33"/>
  <c r="M33"/>
  <c r="E34"/>
  <c r="F34"/>
  <c r="G34"/>
  <c r="H34"/>
  <c r="I34"/>
  <c r="J34"/>
  <c r="K34"/>
  <c r="L34"/>
  <c r="M34"/>
  <c r="D38"/>
  <c r="H38"/>
  <c r="D39" s="1"/>
  <c r="H39"/>
  <c r="D40"/>
  <c r="E40"/>
  <c r="F40"/>
  <c r="G40"/>
  <c r="H40"/>
  <c r="I40"/>
  <c r="J40"/>
  <c r="K40"/>
  <c r="L40"/>
  <c r="M40"/>
  <c r="E41"/>
  <c r="F41"/>
  <c r="G41"/>
  <c r="H41"/>
  <c r="I41"/>
  <c r="J41"/>
  <c r="K41"/>
  <c r="L41"/>
  <c r="M41"/>
  <c r="I43"/>
  <c r="J43"/>
  <c r="K43"/>
  <c r="L43"/>
  <c r="M43"/>
  <c r="D6" i="5"/>
  <c r="D7"/>
  <c r="B11"/>
  <c r="D11"/>
  <c r="B15"/>
  <c r="D15"/>
  <c r="D19"/>
  <c r="D41" i="1" l="1"/>
  <c r="C41"/>
  <c r="C34"/>
  <c r="D34"/>
  <c r="H27"/>
  <c r="H43" s="1"/>
  <c r="D25"/>
  <c r="D27" l="1"/>
  <c r="D43" s="1"/>
  <c r="F27"/>
  <c r="F43" s="1"/>
  <c r="C27"/>
  <c r="C43" s="1"/>
  <c r="E27"/>
  <c r="E43" s="1"/>
  <c r="G27"/>
  <c r="G43" s="1"/>
</calcChain>
</file>

<file path=xl/sharedStrings.xml><?xml version="1.0" encoding="utf-8"?>
<sst xmlns="http://schemas.openxmlformats.org/spreadsheetml/2006/main" count="71" uniqueCount="32">
  <si>
    <t>一、截面信息</t>
    <phoneticPr fontId="1" type="noConversion"/>
  </si>
  <si>
    <r>
      <t>距左端距离</t>
    </r>
    <r>
      <rPr>
        <sz val="12"/>
        <rFont val="Times New Roman"/>
        <family val="1"/>
      </rPr>
      <t>a(mm)</t>
    </r>
    <phoneticPr fontId="1" type="noConversion"/>
  </si>
  <si>
    <r>
      <t>距右端距离</t>
    </r>
    <r>
      <rPr>
        <sz val="12"/>
        <rFont val="Times New Roman"/>
        <family val="1"/>
      </rPr>
      <t>b(mm)</t>
    </r>
    <phoneticPr fontId="1" type="noConversion"/>
  </si>
  <si>
    <r>
      <t>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>(KN·m)</t>
    </r>
    <phoneticPr fontId="1" type="noConversion"/>
  </si>
  <si>
    <r>
      <t>二、一个集中力</t>
    </r>
    <r>
      <rPr>
        <sz val="12"/>
        <rFont val="Times New Roman"/>
        <family val="1"/>
      </rPr>
      <t>P</t>
    </r>
    <phoneticPr fontId="1" type="noConversion"/>
  </si>
  <si>
    <t>P(KN)</t>
    <phoneticPr fontId="1" type="noConversion"/>
  </si>
  <si>
    <r>
      <t>距左端距离</t>
    </r>
    <r>
      <rPr>
        <sz val="12"/>
        <rFont val="Times New Roman"/>
        <family val="1"/>
      </rPr>
      <t xml:space="preserve"> x (mm)</t>
    </r>
    <phoneticPr fontId="1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</si>
  <si>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=Pb/l(KN)</t>
    </r>
    <phoneticPr fontId="1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</si>
  <si>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=Pa/l(KN)</t>
    </r>
    <phoneticPr fontId="1" type="noConversion"/>
  </si>
  <si>
    <t>q (KN/m)</t>
    <phoneticPr fontId="1" type="noConversion"/>
  </si>
  <si>
    <r>
      <t>距左端最近距离</t>
    </r>
    <r>
      <rPr>
        <sz val="12"/>
        <rFont val="Times New Roman"/>
        <family val="1"/>
      </rPr>
      <t>d(mm)</t>
    </r>
    <phoneticPr fontId="1" type="noConversion"/>
  </si>
  <si>
    <r>
      <t>均部范围</t>
    </r>
    <r>
      <rPr>
        <sz val="12"/>
        <rFont val="Times New Roman"/>
        <family val="1"/>
      </rPr>
      <t>c(mm)</t>
    </r>
    <phoneticPr fontId="1" type="noConversion"/>
  </si>
  <si>
    <r>
      <t>均部中点距左端距离</t>
    </r>
    <r>
      <rPr>
        <sz val="12"/>
        <rFont val="Times New Roman"/>
        <family val="1"/>
      </rPr>
      <t>a(mm)</t>
    </r>
    <phoneticPr fontId="1" type="noConversion"/>
  </si>
  <si>
    <r>
      <t>均部中点距右端距离</t>
    </r>
    <r>
      <rPr>
        <sz val="12"/>
        <rFont val="Times New Roman"/>
        <family val="1"/>
      </rPr>
      <t>b(mm)</t>
    </r>
    <phoneticPr fontId="1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</si>
  <si>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=qcb/l(KN)</t>
    </r>
    <phoneticPr fontId="1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</si>
  <si>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=qca/l(KN)</t>
    </r>
    <phoneticPr fontId="1" type="noConversion"/>
  </si>
  <si>
    <r>
      <t>三、一段均部荷载</t>
    </r>
    <r>
      <rPr>
        <sz val="12"/>
        <rFont val="Times New Roman"/>
        <family val="1"/>
      </rPr>
      <t>q</t>
    </r>
    <phoneticPr fontId="1" type="noConversion"/>
  </si>
  <si>
    <r>
      <t>叠加弯距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>(KN·m)</t>
    </r>
    <phoneticPr fontId="1" type="noConversion"/>
  </si>
  <si>
    <r>
      <t>板长</t>
    </r>
    <r>
      <rPr>
        <sz val="12"/>
        <rFont val="Times New Roman"/>
        <family val="1"/>
      </rPr>
      <t>l(mm)</t>
    </r>
    <phoneticPr fontId="1" type="noConversion"/>
  </si>
  <si>
    <t>原始数据</t>
    <phoneticPr fontId="1" type="noConversion"/>
  </si>
  <si>
    <r>
      <t>荷载作用面平行于板跨的宽度</t>
    </r>
    <r>
      <rPr>
        <sz val="12"/>
        <rFont val="Times New Roman"/>
        <family val="1"/>
      </rPr>
      <t>b</t>
    </r>
    <r>
      <rPr>
        <vertAlign val="subscript"/>
        <sz val="12"/>
        <rFont val="Times New Roman"/>
        <family val="1"/>
      </rPr>
      <t>tx</t>
    </r>
    <r>
      <rPr>
        <sz val="12"/>
        <rFont val="Times New Roman"/>
        <family val="1"/>
      </rPr>
      <t xml:space="preserve"> (mm)</t>
    </r>
    <phoneticPr fontId="1" type="noConversion"/>
  </si>
  <si>
    <r>
      <t>荷载作用面垂直于板跨的宽度</t>
    </r>
    <r>
      <rPr>
        <sz val="12"/>
        <rFont val="Times New Roman"/>
        <family val="1"/>
      </rPr>
      <t>b</t>
    </r>
    <r>
      <rPr>
        <vertAlign val="subscript"/>
        <sz val="12"/>
        <rFont val="Times New Roman"/>
        <family val="1"/>
      </rPr>
      <t>ty</t>
    </r>
    <r>
      <rPr>
        <sz val="12"/>
        <rFont val="Times New Roman"/>
        <family val="1"/>
      </rPr>
      <t xml:space="preserve"> (mm)</t>
    </r>
    <phoneticPr fontId="1" type="noConversion"/>
  </si>
  <si>
    <r>
      <t>板的跨度</t>
    </r>
    <r>
      <rPr>
        <sz val="12"/>
        <rFont val="Times New Roman"/>
        <family val="1"/>
      </rPr>
      <t>l (mm)</t>
    </r>
    <phoneticPr fontId="1" type="noConversion"/>
  </si>
  <si>
    <r>
      <t>板的厚度</t>
    </r>
    <r>
      <rPr>
        <sz val="12"/>
        <rFont val="Times New Roman"/>
        <family val="1"/>
      </rPr>
      <t>h (mm)</t>
    </r>
    <phoneticPr fontId="1" type="noConversion"/>
  </si>
  <si>
    <r>
      <t>垫层厚度</t>
    </r>
    <r>
      <rPr>
        <sz val="12"/>
        <rFont val="Times New Roman"/>
        <family val="1"/>
      </rPr>
      <t>s (mm)</t>
    </r>
    <phoneticPr fontId="1" type="noConversion"/>
  </si>
  <si>
    <r>
      <t>板上荷载的有效分布宽度</t>
    </r>
    <r>
      <rPr>
        <sz val="12"/>
        <rFont val="Times New Roman"/>
        <family val="1"/>
      </rPr>
      <t>b (mm)</t>
    </r>
    <phoneticPr fontId="1" type="noConversion"/>
  </si>
  <si>
    <t>局部荷载作用面的长边平行于板跨时：</t>
    <phoneticPr fontId="1" type="noConversion"/>
  </si>
  <si>
    <t>局部荷载作用面的长边垂直于板跨时：</t>
    <phoneticPr fontId="1" type="noConversion"/>
  </si>
  <si>
    <r>
      <t>荷载作用面平行于板跨的计算宽度</t>
    </r>
    <r>
      <rPr>
        <sz val="12"/>
        <rFont val="Times New Roman"/>
        <family val="1"/>
      </rPr>
      <t>b</t>
    </r>
    <r>
      <rPr>
        <vertAlign val="subscript"/>
        <sz val="12"/>
        <rFont val="Times New Roman"/>
        <family val="1"/>
      </rPr>
      <t>cx</t>
    </r>
    <r>
      <rPr>
        <sz val="12"/>
        <rFont val="Times New Roman"/>
        <family val="1"/>
      </rPr>
      <t xml:space="preserve"> = b</t>
    </r>
    <r>
      <rPr>
        <vertAlign val="subscript"/>
        <sz val="12"/>
        <rFont val="Times New Roman"/>
        <family val="1"/>
      </rPr>
      <t>tx</t>
    </r>
    <r>
      <rPr>
        <sz val="12"/>
        <rFont val="Times New Roman"/>
        <family val="1"/>
      </rPr>
      <t xml:space="preserve"> + 2s + h (mm)</t>
    </r>
    <phoneticPr fontId="1" type="noConversion"/>
  </si>
  <si>
    <r>
      <t>荷载作用面垂直于板跨的计算宽度</t>
    </r>
    <r>
      <rPr>
        <sz val="12"/>
        <rFont val="Times New Roman"/>
        <family val="1"/>
      </rPr>
      <t>b</t>
    </r>
    <r>
      <rPr>
        <vertAlign val="subscript"/>
        <sz val="12"/>
        <rFont val="Times New Roman"/>
        <family val="1"/>
      </rPr>
      <t>cy</t>
    </r>
    <r>
      <rPr>
        <sz val="12"/>
        <rFont val="Times New Roman"/>
        <family val="1"/>
      </rPr>
      <t xml:space="preserve"> = b</t>
    </r>
    <r>
      <rPr>
        <vertAlign val="subscript"/>
        <sz val="12"/>
        <rFont val="Times New Roman"/>
        <family val="1"/>
      </rPr>
      <t>ty</t>
    </r>
    <r>
      <rPr>
        <sz val="12"/>
        <rFont val="Times New Roman"/>
        <family val="1"/>
      </rPr>
      <t xml:space="preserve"> + 2s + h (mm)</t>
    </r>
    <phoneticPr fontId="1" type="noConversion"/>
  </si>
  <si>
    <r>
      <t>绝对最大弯距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max</t>
    </r>
    <r>
      <rPr>
        <sz val="12"/>
        <rFont val="Times New Roman"/>
        <family val="1"/>
      </rPr>
      <t xml:space="preserve"> (KN·M)</t>
    </r>
    <phoneticPr fontId="1" type="noConversion"/>
  </si>
  <si>
    <r>
      <t>局部荷载的等效均部荷载</t>
    </r>
    <r>
      <rPr>
        <sz val="12"/>
        <rFont val="Times New Roman"/>
        <family val="1"/>
      </rPr>
      <t>q</t>
    </r>
    <r>
      <rPr>
        <vertAlign val="subscript"/>
        <sz val="12"/>
        <rFont val="Times New Roman"/>
        <family val="1"/>
      </rPr>
      <t>e</t>
    </r>
    <r>
      <rPr>
        <sz val="12"/>
        <rFont val="Times New Roman"/>
        <family val="1"/>
      </rPr>
      <t xml:space="preserve"> = 8M</t>
    </r>
    <r>
      <rPr>
        <vertAlign val="subscript"/>
        <sz val="12"/>
        <rFont val="Times New Roman"/>
        <family val="1"/>
      </rPr>
      <t>max</t>
    </r>
    <r>
      <rPr>
        <sz val="12"/>
        <rFont val="Times New Roman"/>
        <family val="1"/>
      </rPr>
      <t xml:space="preserve"> / bl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 xml:space="preserve"> (KN/m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</si>
</sst>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>
  <numFmts count="3">
    <numFmt numFmtId="177" formatCode="0.00_);[Red]\(0.00\)"/>
    <numFmt numFmtId="180" formatCode="0_ "/>
    <numFmt numFmtId="181" formatCode="0.0_ "/>
  </numFmts>
  <fonts count="8"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vertAlign val="subscript"/>
      <sz val="12"/>
      <name val="Times New Roman"/>
      <family val="1"/>
    </font>
    <font>
      <b/>
      <sz val="18"/>
      <name val="楷体_GB2312"/>
      <family val="3"/>
      <charset val="134"/>
    </font>
    <font>
      <b/>
      <sz val="24"/>
      <name val="宋体"/>
      <charset val="134"/>
    </font>
    <font>
      <vertAlign val="superscript"/>
      <sz val="12"/>
      <name val="Times New Roman"/>
      <family val="1"/>
    </font>
    <font>
      <sz val="12"/>
      <color indexed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181" fontId="0" fillId="2" borderId="1" xfId="0" applyNumberFormat="1" applyFill="1" applyBorder="1" applyAlignment="1">
      <alignment horizontal="center" vertical="center"/>
    </xf>
    <xf numFmtId="18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b/>
        <i val="0"/>
        <condense val="0"/>
        <extend val="0"/>
        <color indexed="12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layout>
        <c:manualLayout>
          <c:xMode val="edge"/>
          <c:yMode val="edge"/>
          <c:x val="0.4302610406070862"/>
          <c:y val="2.661068065405157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宋体"/>
              <a:ea typeface="宋体"/>
              <a:cs typeface="宋体"/>
            </a:defRPr>
          </a:pPr>
          <a:endParaRPr lang="zh-CN"/>
        </a:p>
      </c:txPr>
    </c:title>
    <c:plotArea>
      <c:layout>
        <c:manualLayout>
          <c:layoutTarget val="inner"/>
          <c:xMode val="edge"/>
          <c:yMode val="edge"/>
          <c:x val="0.17494130222485924"/>
          <c:y val="0.14565846252744022"/>
          <c:w val="0.75886700019161912"/>
          <c:h val="0.82212997599622506"/>
        </c:manualLayout>
      </c:layout>
      <c:scatterChart>
        <c:scatterStyle val="smoothMarker"/>
        <c:ser>
          <c:idx val="35"/>
          <c:order val="0"/>
          <c:tx>
            <c:v>叠加弯距Mx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dLbls>
            <c:numFmt formatCode="0.00_ ;[Red]\-0.00\ 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FF0000"/>
                    </a:solidFill>
                    <a:latin typeface="宋体"/>
                    <a:ea typeface="宋体"/>
                    <a:cs typeface="宋体"/>
                  </a:defRPr>
                </a:pPr>
                <a:endParaRPr lang="zh-CN"/>
              </a:p>
            </c:txPr>
            <c:showLegendKey val="1"/>
            <c:showVal val="1"/>
          </c:dLbls>
          <c:xVal>
            <c:numRef>
              <c:f>简支板!$C$7:$M$7</c:f>
              <c:numCache>
                <c:formatCode>General</c:formatCode>
                <c:ptCount val="11"/>
                <c:pt idx="0">
                  <c:v>0</c:v>
                </c:pt>
                <c:pt idx="1">
                  <c:v>282</c:v>
                </c:pt>
                <c:pt idx="2">
                  <c:v>564</c:v>
                </c:pt>
                <c:pt idx="3">
                  <c:v>846</c:v>
                </c:pt>
                <c:pt idx="4">
                  <c:v>1128</c:v>
                </c:pt>
                <c:pt idx="5">
                  <c:v>1410</c:v>
                </c:pt>
                <c:pt idx="6">
                  <c:v>1692</c:v>
                </c:pt>
                <c:pt idx="7">
                  <c:v>1973.9999999999998</c:v>
                </c:pt>
                <c:pt idx="8">
                  <c:v>2256</c:v>
                </c:pt>
                <c:pt idx="9">
                  <c:v>2538</c:v>
                </c:pt>
                <c:pt idx="10">
                  <c:v>2820</c:v>
                </c:pt>
              </c:numCache>
            </c:numRef>
          </c:xVal>
          <c:yVal>
            <c:numRef>
              <c:f>简支板!$C$43:$M$43</c:f>
              <c:numCache>
                <c:formatCode>0.00_);[Red]\(0.00\)</c:formatCode>
                <c:ptCount val="11"/>
                <c:pt idx="0">
                  <c:v>0</c:v>
                </c:pt>
                <c:pt idx="1">
                  <c:v>0.28199999999999997</c:v>
                </c:pt>
                <c:pt idx="2">
                  <c:v>0.56399999999999995</c:v>
                </c:pt>
                <c:pt idx="3">
                  <c:v>0.84599999999999997</c:v>
                </c:pt>
                <c:pt idx="4">
                  <c:v>1.1279999999999999</c:v>
                </c:pt>
                <c:pt idx="5">
                  <c:v>1.31</c:v>
                </c:pt>
                <c:pt idx="6">
                  <c:v>1.1279999999999999</c:v>
                </c:pt>
                <c:pt idx="7">
                  <c:v>0.84600000000000009</c:v>
                </c:pt>
                <c:pt idx="8">
                  <c:v>0.56399999999999983</c:v>
                </c:pt>
                <c:pt idx="9">
                  <c:v>0.28199999999999992</c:v>
                </c:pt>
                <c:pt idx="10">
                  <c:v>0</c:v>
                </c:pt>
              </c:numCache>
            </c:numRef>
          </c:yVal>
          <c:smooth val="1"/>
        </c:ser>
        <c:dLbls>
          <c:showLegendKey val="1"/>
          <c:showVal val="1"/>
        </c:dLbls>
        <c:axId val="266535680"/>
        <c:axId val="266538368"/>
      </c:scatterChart>
      <c:valAx>
        <c:axId val="266535680"/>
        <c:scaling>
          <c:orientation val="minMax"/>
        </c:scaling>
        <c:axPos val="t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x (mm)</a:t>
                </a:r>
              </a:p>
            </c:rich>
          </c:tx>
          <c:layout>
            <c:manualLayout>
              <c:xMode val="edge"/>
              <c:yMode val="edge"/>
              <c:x val="0.50591133346107942"/>
              <c:y val="8.6834852660589351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266538368"/>
        <c:crosses val="autoZero"/>
        <c:crossBetween val="midCat"/>
      </c:valAx>
      <c:valAx>
        <c:axId val="266538368"/>
        <c:scaling>
          <c:orientation val="maxMin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Mx (KN·m)</a:t>
                </a:r>
              </a:p>
            </c:rich>
          </c:tx>
          <c:layout>
            <c:manualLayout>
              <c:xMode val="edge"/>
              <c:yMode val="edge"/>
              <c:x val="3.7825146426996588E-2"/>
              <c:y val="0.51260574312541463"/>
            </c:manualLayout>
          </c:layout>
          <c:spPr>
            <a:noFill/>
            <a:ln w="25400">
              <a:noFill/>
            </a:ln>
          </c:spPr>
        </c:title>
        <c:numFmt formatCode="0.00_);[Red]\(0.00\)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266535680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28575</xdr:colOff>
      <xdr:row>4</xdr:row>
      <xdr:rowOff>28575</xdr:rowOff>
    </xdr:from>
    <xdr:to>
      <xdr:col>19</xdr:col>
      <xdr:colOff>0</xdr:colOff>
      <xdr:row>38</xdr:row>
      <xdr:rowOff>28575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6</xdr:col>
      <xdr:colOff>180975</xdr:colOff>
      <xdr:row>2</xdr:row>
      <xdr:rowOff>3620</xdr:rowOff>
    </xdr:to>
    <xdr:pic>
      <xdr:nvPicPr>
        <xdr:cNvPr id="2" name="图片 1" descr="logo.pn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34100" y="0"/>
          <a:ext cx="1552575" cy="403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0"/>
  <sheetViews>
    <sheetView zoomScale="75" zoomScaleNormal="100" workbookViewId="0">
      <selection activeCell="H44" sqref="H44"/>
    </sheetView>
  </sheetViews>
  <sheetFormatPr defaultRowHeight="14.25"/>
  <cols>
    <col min="1" max="13" width="9.625" style="1" customWidth="1"/>
    <col min="14" max="15" width="8.625" customWidth="1"/>
  </cols>
  <sheetData>
    <row r="1" spans="1:13" ht="15.95" customHeight="1">
      <c r="A1" s="17" t="s">
        <v>0</v>
      </c>
      <c r="B1" s="17"/>
      <c r="C1" s="2"/>
      <c r="D1" s="2"/>
      <c r="E1" s="2"/>
      <c r="F1" s="2"/>
    </row>
    <row r="2" spans="1:13" ht="15.95" customHeight="1">
      <c r="A2" s="14" t="s">
        <v>18</v>
      </c>
      <c r="B2" s="14"/>
      <c r="C2" s="12">
        <v>2820</v>
      </c>
    </row>
    <row r="3" spans="1:13" ht="15.95" customHeight="1"/>
    <row r="4" spans="1:13" ht="15.95" customHeight="1">
      <c r="A4" s="17" t="s">
        <v>4</v>
      </c>
      <c r="B4" s="17"/>
      <c r="C4" s="2"/>
      <c r="D4" s="2"/>
      <c r="E4" s="2"/>
      <c r="F4" s="2"/>
    </row>
    <row r="5" spans="1:13" ht="15.95" customHeight="1">
      <c r="A5" s="4" t="s">
        <v>5</v>
      </c>
      <c r="B5" s="12">
        <v>0</v>
      </c>
      <c r="C5" s="14" t="s">
        <v>1</v>
      </c>
      <c r="D5" s="14"/>
      <c r="E5" s="12">
        <v>500</v>
      </c>
      <c r="F5" s="14" t="s">
        <v>2</v>
      </c>
      <c r="G5" s="14"/>
      <c r="H5" s="3">
        <f>C2-E5</f>
        <v>2320</v>
      </c>
    </row>
    <row r="6" spans="1:13" ht="15.95" customHeight="1">
      <c r="A6" s="16" t="s">
        <v>7</v>
      </c>
      <c r="B6" s="16"/>
      <c r="C6" s="16"/>
      <c r="D6" s="5">
        <f>IF(C2&gt;0,B5*H5/C2,"")</f>
        <v>0</v>
      </c>
      <c r="E6" s="16" t="s">
        <v>8</v>
      </c>
      <c r="F6" s="16"/>
      <c r="G6" s="16"/>
      <c r="H6" s="5">
        <f>IF(C2&gt;0,B5*E5/C2,"")</f>
        <v>0</v>
      </c>
    </row>
    <row r="7" spans="1:13" ht="15.95" customHeight="1">
      <c r="A7" s="14" t="s">
        <v>6</v>
      </c>
      <c r="B7" s="15"/>
      <c r="C7" s="4">
        <v>0</v>
      </c>
      <c r="D7" s="4">
        <f>0.1*C2</f>
        <v>282</v>
      </c>
      <c r="E7" s="4">
        <f>0.2*C2</f>
        <v>564</v>
      </c>
      <c r="F7" s="4">
        <f>0.3*C2</f>
        <v>846</v>
      </c>
      <c r="G7" s="4">
        <f>0.4*C2</f>
        <v>1128</v>
      </c>
      <c r="H7" s="4">
        <f>0.5*C2</f>
        <v>1410</v>
      </c>
      <c r="I7" s="4">
        <f>0.6*C2</f>
        <v>1692</v>
      </c>
      <c r="J7" s="4">
        <f>0.7*C2</f>
        <v>1973.9999999999998</v>
      </c>
      <c r="K7" s="4">
        <f>0.8*C2</f>
        <v>2256</v>
      </c>
      <c r="L7" s="4">
        <f>0.9*C2</f>
        <v>2538</v>
      </c>
      <c r="M7" s="4">
        <f>C2</f>
        <v>2820</v>
      </c>
    </row>
    <row r="8" spans="1:13" ht="15.95" customHeight="1">
      <c r="A8" s="14" t="s">
        <v>3</v>
      </c>
      <c r="B8" s="14"/>
      <c r="C8" s="6">
        <f>IF(C7&lt;=E5,0,B5*E5/1000)</f>
        <v>0</v>
      </c>
      <c r="D8" s="6">
        <f>IF(D7&lt;=E5,0.1*B5*H5/1000,0.9*B5*E5/1000)</f>
        <v>0</v>
      </c>
      <c r="E8" s="6">
        <f>IF(E7&lt;=E5,0.2*B5*H5/1000,0.8*B5*E5/1000)</f>
        <v>0</v>
      </c>
      <c r="F8" s="6">
        <f>IF(F7&lt;=E5,0.3*B5*H5/1000,0.7*B5*E5/1000)</f>
        <v>0</v>
      </c>
      <c r="G8" s="6">
        <f>IF(G7&lt;=E5,0.4*B5*H5/1000,0.6*B5*E5/1000)</f>
        <v>0</v>
      </c>
      <c r="H8" s="6">
        <f>IF(H7&lt;=E5,0.5*B5*H5/1000,0.5*B5*E5/1000)</f>
        <v>0</v>
      </c>
      <c r="I8" s="6">
        <f>IF(I7&lt;=E5,0.6*B5*H5/1000,0.4*B5*E5/1000)</f>
        <v>0</v>
      </c>
      <c r="J8" s="6">
        <f>IF(J7&lt;=E5,0.7*B5*H5/1000,0.3*B5*E5/1000)</f>
        <v>0</v>
      </c>
      <c r="K8" s="6">
        <f>IF(K7&lt;=E5,0.8*B5*H5/1000,0.2*B5*E5/1000)</f>
        <v>0</v>
      </c>
      <c r="L8" s="6">
        <f>IF(L7&lt;=E5,0.9*B5*H5/1000,0.1*B5*E5/1000)</f>
        <v>0</v>
      </c>
      <c r="M8" s="6">
        <f>IF(M7&lt;=E5,B5*H5/1000,0)</f>
        <v>0</v>
      </c>
    </row>
    <row r="9" spans="1:13" ht="15.95" customHeight="1"/>
    <row r="10" spans="1:13" ht="15.95" customHeight="1">
      <c r="A10" s="17" t="s">
        <v>4</v>
      </c>
      <c r="B10" s="17"/>
      <c r="C10" s="2"/>
      <c r="D10" s="2"/>
      <c r="E10" s="2"/>
      <c r="F10" s="2"/>
    </row>
    <row r="11" spans="1:13" ht="15.95" customHeight="1">
      <c r="A11" s="4" t="s">
        <v>5</v>
      </c>
      <c r="B11" s="12">
        <v>0</v>
      </c>
      <c r="C11" s="14" t="s">
        <v>1</v>
      </c>
      <c r="D11" s="14"/>
      <c r="E11" s="12">
        <v>500</v>
      </c>
      <c r="F11" s="14" t="s">
        <v>2</v>
      </c>
      <c r="G11" s="14"/>
      <c r="H11" s="3">
        <f>C2-E11</f>
        <v>2320</v>
      </c>
    </row>
    <row r="12" spans="1:13" ht="15.95" customHeight="1">
      <c r="A12" s="14" t="s">
        <v>7</v>
      </c>
      <c r="B12" s="14"/>
      <c r="C12" s="14"/>
      <c r="D12" s="3">
        <f>IF(C2&gt;0,B11*H11/C2,"")</f>
        <v>0</v>
      </c>
      <c r="E12" s="14" t="s">
        <v>8</v>
      </c>
      <c r="F12" s="14"/>
      <c r="G12" s="14"/>
      <c r="H12" s="3">
        <f>IF(C2&gt;0,B11*E11/C2,"")</f>
        <v>0</v>
      </c>
    </row>
    <row r="13" spans="1:13" ht="15.95" customHeight="1">
      <c r="A13" s="14" t="s">
        <v>6</v>
      </c>
      <c r="B13" s="15"/>
      <c r="C13" s="4">
        <v>0</v>
      </c>
      <c r="D13" s="4">
        <f>0.1*C2</f>
        <v>282</v>
      </c>
      <c r="E13" s="4">
        <f>0.2*C2</f>
        <v>564</v>
      </c>
      <c r="F13" s="4">
        <f>0.3*C2</f>
        <v>846</v>
      </c>
      <c r="G13" s="4">
        <f>0.4*C2</f>
        <v>1128</v>
      </c>
      <c r="H13" s="4">
        <f>0.5*C2</f>
        <v>1410</v>
      </c>
      <c r="I13" s="4">
        <f>0.6*C2</f>
        <v>1692</v>
      </c>
      <c r="J13" s="4">
        <f>0.7*C2</f>
        <v>1973.9999999999998</v>
      </c>
      <c r="K13" s="4">
        <f>0.8*C2</f>
        <v>2256</v>
      </c>
      <c r="L13" s="4">
        <f>0.9*C2</f>
        <v>2538</v>
      </c>
      <c r="M13" s="4">
        <f>C2</f>
        <v>2820</v>
      </c>
    </row>
    <row r="14" spans="1:13" ht="15.95" customHeight="1">
      <c r="A14" s="14" t="s">
        <v>3</v>
      </c>
      <c r="B14" s="14"/>
      <c r="C14" s="6">
        <f>IF(C13&lt;=E11,0,B11*E11/1000)</f>
        <v>0</v>
      </c>
      <c r="D14" s="6">
        <f>IF(D13&lt;=E11,0.1*B11*H11/1000,0.9*B11*E11/1000)</f>
        <v>0</v>
      </c>
      <c r="E14" s="6">
        <f>IF(E13&lt;=E11,0.2*B11*H11/1000,0.8*B11*E11/1000)</f>
        <v>0</v>
      </c>
      <c r="F14" s="6">
        <f>IF(F13&lt;=E11,0.3*B11*H11/1000,0.7*B11*E11/1000)</f>
        <v>0</v>
      </c>
      <c r="G14" s="6">
        <f>IF(G13&lt;=E11,0.4*B11*H11/1000,0.6*B11*E11/1000)</f>
        <v>0</v>
      </c>
      <c r="H14" s="6">
        <f>IF(H13&lt;=E11,0.5*B11*H11/1000,0.5*B11*E11/1000)</f>
        <v>0</v>
      </c>
      <c r="I14" s="6">
        <f>IF(I13&lt;=E11,0.6*B11*H11/1000,0.4*B11*E11/1000)</f>
        <v>0</v>
      </c>
      <c r="J14" s="6">
        <f>IF(J13&lt;=E11,0.7*B11*H11/1000,0.3*B11*E11/1000)</f>
        <v>0</v>
      </c>
      <c r="K14" s="6">
        <f>IF(K13&lt;=E11,0.8*B11*H11/1000,0.2*B11*E11/1000)</f>
        <v>0</v>
      </c>
      <c r="L14" s="6">
        <f>IF(L13&lt;=E11,0.9*B11*H11/1000,0.1*B11*E11/1000)</f>
        <v>0</v>
      </c>
      <c r="M14" s="6">
        <f>IF(M13&lt;=E11,B11*H11/1000,0)</f>
        <v>0</v>
      </c>
    </row>
    <row r="15" spans="1:13" ht="15.95" customHeight="1"/>
    <row r="16" spans="1:13" ht="15.95" customHeight="1">
      <c r="A16" s="17" t="s">
        <v>4</v>
      </c>
      <c r="B16" s="17"/>
      <c r="C16" s="2"/>
      <c r="D16" s="2"/>
      <c r="E16" s="2"/>
      <c r="F16" s="2"/>
    </row>
    <row r="17" spans="1:13" ht="15.95" customHeight="1">
      <c r="A17" s="4" t="s">
        <v>5</v>
      </c>
      <c r="B17" s="12">
        <v>0</v>
      </c>
      <c r="C17" s="14" t="s">
        <v>1</v>
      </c>
      <c r="D17" s="14"/>
      <c r="E17" s="12">
        <v>500</v>
      </c>
      <c r="F17" s="14" t="s">
        <v>2</v>
      </c>
      <c r="G17" s="14"/>
      <c r="H17" s="3">
        <f>C2-E17</f>
        <v>2320</v>
      </c>
    </row>
    <row r="18" spans="1:13" ht="15.95" customHeight="1">
      <c r="A18" s="14" t="s">
        <v>7</v>
      </c>
      <c r="B18" s="14"/>
      <c r="C18" s="14"/>
      <c r="D18" s="3">
        <f>IF(C2&gt;0,B17*H17/C2,"")</f>
        <v>0</v>
      </c>
      <c r="E18" s="14" t="s">
        <v>8</v>
      </c>
      <c r="F18" s="14"/>
      <c r="G18" s="14"/>
      <c r="H18" s="3">
        <f>IF(C2&gt;0,B17*E17/C2,"")</f>
        <v>0</v>
      </c>
    </row>
    <row r="19" spans="1:13" ht="15.95" customHeight="1">
      <c r="A19" s="14" t="s">
        <v>6</v>
      </c>
      <c r="B19" s="15"/>
      <c r="C19" s="4">
        <v>0</v>
      </c>
      <c r="D19" s="4">
        <f>0.1*C2</f>
        <v>282</v>
      </c>
      <c r="E19" s="4">
        <f>0.2*C2</f>
        <v>564</v>
      </c>
      <c r="F19" s="4">
        <f>0.3*C2</f>
        <v>846</v>
      </c>
      <c r="G19" s="4">
        <f>0.4*C2</f>
        <v>1128</v>
      </c>
      <c r="H19" s="4">
        <f>0.5*C2</f>
        <v>1410</v>
      </c>
      <c r="I19" s="4">
        <f>0.6*C2</f>
        <v>1692</v>
      </c>
      <c r="J19" s="4">
        <f>0.7*C2</f>
        <v>1973.9999999999998</v>
      </c>
      <c r="K19" s="4">
        <f>0.8*C2</f>
        <v>2256</v>
      </c>
      <c r="L19" s="4">
        <f>0.9*C2</f>
        <v>2538</v>
      </c>
      <c r="M19" s="4">
        <f>C2</f>
        <v>2820</v>
      </c>
    </row>
    <row r="20" spans="1:13" ht="15.95" customHeight="1">
      <c r="A20" s="14" t="s">
        <v>3</v>
      </c>
      <c r="B20" s="14"/>
      <c r="C20" s="6">
        <f>IF(C19&lt;=E17,0,B17*E17/1000)</f>
        <v>0</v>
      </c>
      <c r="D20" s="6">
        <f>IF(D19&lt;=E17,0.1*B17*H17/1000,0.9*B17*E17/1000)</f>
        <v>0</v>
      </c>
      <c r="E20" s="6">
        <f>IF(E19&lt;=E17,0.2*B17*H17/1000,0.8*B17*E17/1000)</f>
        <v>0</v>
      </c>
      <c r="F20" s="6">
        <f>IF(F19&lt;=E17,0.3*B17*H17/1000,0.7*B17*E17/1000)</f>
        <v>0</v>
      </c>
      <c r="G20" s="6">
        <f>IF(G19&lt;=E17,0.4*B17*H17/1000,0.6*B17*E17/1000)</f>
        <v>0</v>
      </c>
      <c r="H20" s="6">
        <f>IF(H19&lt;=E17,0.5*B17*H17/1000,0.5*B17*E17/1000)</f>
        <v>0</v>
      </c>
      <c r="I20" s="6">
        <f>IF(I19&lt;=E17,0.6*B17*H17/1000,0.4*B17*E17/1000)</f>
        <v>0</v>
      </c>
      <c r="J20" s="6">
        <f>IF(J19&lt;=E17,0.7*B17*H17/1000,0.3*B17*E17/1000)</f>
        <v>0</v>
      </c>
      <c r="K20" s="6">
        <f>IF(K19&lt;=E17,0.8*B17*H17/1000,0.2*B17*E17/1000)</f>
        <v>0</v>
      </c>
      <c r="L20" s="6">
        <f>IF(L19&lt;=E17,0.9*B17*H17/1000,0.1*B17*E17/1000)</f>
        <v>0</v>
      </c>
      <c r="M20" s="6">
        <f>IF(M19&lt;=E17,B17*H17/1000,0)</f>
        <v>0</v>
      </c>
    </row>
    <row r="21" spans="1:13" ht="15.95" customHeight="1"/>
    <row r="22" spans="1:13" ht="15.95" customHeight="1">
      <c r="A22" s="17" t="s">
        <v>16</v>
      </c>
      <c r="B22" s="17"/>
    </row>
    <row r="23" spans="1:13" ht="15.95" customHeight="1">
      <c r="A23" s="4" t="s">
        <v>9</v>
      </c>
      <c r="B23" s="12">
        <v>5</v>
      </c>
      <c r="C23" s="14" t="s">
        <v>10</v>
      </c>
      <c r="D23" s="14"/>
      <c r="E23" s="12">
        <v>1210</v>
      </c>
      <c r="F23" s="14" t="s">
        <v>11</v>
      </c>
      <c r="G23" s="14"/>
      <c r="H23" s="12">
        <v>400</v>
      </c>
    </row>
    <row r="24" spans="1:13" ht="15.95" customHeight="1">
      <c r="A24" s="14" t="s">
        <v>12</v>
      </c>
      <c r="B24" s="14"/>
      <c r="C24" s="14"/>
      <c r="D24" s="3">
        <f>E23+H23/2</f>
        <v>1410</v>
      </c>
      <c r="E24" s="14" t="s">
        <v>13</v>
      </c>
      <c r="F24" s="14"/>
      <c r="G24" s="14"/>
      <c r="H24" s="3">
        <f>C2-D24</f>
        <v>1410</v>
      </c>
    </row>
    <row r="25" spans="1:13" ht="15.95" customHeight="1">
      <c r="A25" s="14" t="s">
        <v>14</v>
      </c>
      <c r="B25" s="14"/>
      <c r="C25" s="14"/>
      <c r="D25" s="3">
        <f>B23*H23*H24/C2/1000</f>
        <v>1</v>
      </c>
      <c r="E25" s="14" t="s">
        <v>15</v>
      </c>
      <c r="F25" s="14"/>
      <c r="G25" s="14"/>
      <c r="H25" s="3">
        <f>B23*H23*D24/C2/1000</f>
        <v>1</v>
      </c>
    </row>
    <row r="26" spans="1:13" ht="15.95" customHeight="1">
      <c r="A26" s="14" t="s">
        <v>6</v>
      </c>
      <c r="B26" s="15"/>
      <c r="C26" s="4">
        <v>0</v>
      </c>
      <c r="D26" s="4">
        <f>0.1*C2</f>
        <v>282</v>
      </c>
      <c r="E26" s="4">
        <f>0.2*C2</f>
        <v>564</v>
      </c>
      <c r="F26" s="4">
        <f>0.3*C2</f>
        <v>846</v>
      </c>
      <c r="G26" s="4">
        <f>0.4*C2</f>
        <v>1128</v>
      </c>
      <c r="H26" s="4">
        <f>0.5*C2</f>
        <v>1410</v>
      </c>
      <c r="I26" s="4">
        <f>0.6*C2</f>
        <v>1692</v>
      </c>
      <c r="J26" s="4">
        <f>0.7*C2</f>
        <v>1973.9999999999998</v>
      </c>
      <c r="K26" s="4">
        <f>0.8*C2</f>
        <v>2256</v>
      </c>
      <c r="L26" s="4">
        <f>0.9*C2</f>
        <v>2538</v>
      </c>
      <c r="M26" s="4">
        <f>C2</f>
        <v>2820</v>
      </c>
    </row>
    <row r="27" spans="1:13" ht="15.95" customHeight="1">
      <c r="A27" s="14" t="s">
        <v>3</v>
      </c>
      <c r="B27" s="14"/>
      <c r="C27" s="6">
        <f>IF(C26&lt;=E23,D25*C26/1000,IF(C26&lt;=E23+H23,B23*H23*(H24*C26/C2-(C26-E23)^2/(2*H23))/10^6,B23*H23*D24*(1-C26/C2)/10^6))</f>
        <v>0</v>
      </c>
      <c r="D27" s="6">
        <f>IF(D26&lt;=E23,D25*D26/1000,IF(D26&lt;=E23+H23,B23*H23*(H24*D26/C2-(D26-E23)^2/(2*H23))/10^6,B23*H23*D24*(1-D26/C2)/10^6))</f>
        <v>0.28199999999999997</v>
      </c>
      <c r="E27" s="6">
        <f>IF(E26&lt;=E23,D25*E26/1000,IF(E26&lt;=E23+H23,B23*H23*(H24*E26/C2-(E26-E23)^2/(2*H23))/10^6,B23*H23*D24*(1-E26/C2)/10^6))</f>
        <v>0.56399999999999995</v>
      </c>
      <c r="F27" s="6">
        <f>IF(F26&lt;=E23,D25*F26/1000,IF(F26&lt;=E23+H23,B23*H23*(H24*F26/C2-(F26-E23)^2/(2*H23))/10^6,B23*H23*D24*(1-F26/C2)/10^6))</f>
        <v>0.84599999999999997</v>
      </c>
      <c r="G27" s="6">
        <f>IF(G26&lt;=E23,D25*G26/1000,IF(G26&lt;=E23+H23,B23*H23*(H24*G26/C2-(G26-E23)^2/(2*H23))/10^6,B23*H23*D24*(1-G26/C2)/10^6))</f>
        <v>1.1279999999999999</v>
      </c>
      <c r="H27" s="6">
        <f>IF(H26&lt;=E23,D25*H26/1000,IF(H26&lt;=E23+H23,B23*H23*(H24*H26/C2-(H26-E23)^2/(2*H23))/10^6,B23*H23*D24*(1-H26/C2)/10^6))</f>
        <v>1.31</v>
      </c>
      <c r="I27" s="6">
        <f>IF(I26&lt;=E23,D25*I26/1000,IF(I26&lt;=E23+H23,B23*H23*(H24*I26/C2-(I26-E23)^2/(2*H23))/10^6,B23*H23*D24*(1-I26/C2)/10^6))</f>
        <v>1.1279999999999999</v>
      </c>
      <c r="J27" s="6">
        <f>IF(J26&lt;=E23,D25*J26/1000,IF(J26&lt;=E23+H23,B23*H23*(H24*J26/C2-(J26-E23)^2/(2*H23))/10^6,B23*H23*D24*(1-J26/C2)/10^6))</f>
        <v>0.84600000000000009</v>
      </c>
      <c r="K27" s="6">
        <f>IF(K26&lt;=E23,D25*K26/1000,IF(K26&lt;=E23+H23,B23*H23*(H24*K26/C2-(K26-E23)^2/(2*H23))/10^6,B23*H23*D24*(1-K26/C2)/10^6))</f>
        <v>0.56399999999999983</v>
      </c>
      <c r="L27" s="6">
        <f>IF(L26&lt;=E23,D25*L26/1000,IF(L26&lt;=E23+H23,B23*H23*(H24*L26/C2-(L26-E23)^2/(2*H23))/10^6,B23*H23*D24*(1-L26/C2)/10^6))</f>
        <v>0.28199999999999992</v>
      </c>
      <c r="M27" s="6">
        <f>IF(M26&lt;=E23,D25*M26/1000,IF(M26&lt;=E23+H23,B23*H23*(H24*M26/C2-(M26-E23)^2/(2*H23))/10^6,B23*H23*D24*(1-M26/C2)/10^6))</f>
        <v>0</v>
      </c>
    </row>
    <row r="28" spans="1:13" ht="15.95" customHeight="1"/>
    <row r="29" spans="1:13" ht="15.95" customHeight="1">
      <c r="A29" s="17" t="s">
        <v>16</v>
      </c>
      <c r="B29" s="17"/>
    </row>
    <row r="30" spans="1:13" ht="15.95" customHeight="1">
      <c r="A30" s="4" t="s">
        <v>9</v>
      </c>
      <c r="B30" s="12">
        <v>0</v>
      </c>
      <c r="C30" s="14" t="s">
        <v>10</v>
      </c>
      <c r="D30" s="14"/>
      <c r="E30" s="12">
        <v>300</v>
      </c>
      <c r="F30" s="14" t="s">
        <v>11</v>
      </c>
      <c r="G30" s="14"/>
      <c r="H30" s="12">
        <v>400</v>
      </c>
    </row>
    <row r="31" spans="1:13" ht="15.95" customHeight="1">
      <c r="A31" s="14" t="s">
        <v>12</v>
      </c>
      <c r="B31" s="14"/>
      <c r="C31" s="14"/>
      <c r="D31" s="3">
        <f>E30+H30/2</f>
        <v>500</v>
      </c>
      <c r="E31" s="14" t="s">
        <v>13</v>
      </c>
      <c r="F31" s="14"/>
      <c r="G31" s="14"/>
      <c r="H31" s="3">
        <f>C2-D31</f>
        <v>2320</v>
      </c>
    </row>
    <row r="32" spans="1:13" ht="15.95" customHeight="1">
      <c r="A32" s="14" t="s">
        <v>14</v>
      </c>
      <c r="B32" s="14"/>
      <c r="C32" s="14"/>
      <c r="D32" s="3">
        <f>B30*H30*H31/C2/1000</f>
        <v>0</v>
      </c>
      <c r="E32" s="14" t="s">
        <v>15</v>
      </c>
      <c r="F32" s="14"/>
      <c r="G32" s="14"/>
      <c r="H32" s="3">
        <f>B30*H30*D31/C2/1000</f>
        <v>0</v>
      </c>
    </row>
    <row r="33" spans="1:13" ht="15.95" customHeight="1">
      <c r="A33" s="14" t="s">
        <v>6</v>
      </c>
      <c r="B33" s="15"/>
      <c r="C33" s="4">
        <v>0</v>
      </c>
      <c r="D33" s="4">
        <f>0.1*C2</f>
        <v>282</v>
      </c>
      <c r="E33" s="4">
        <f>0.2*C2</f>
        <v>564</v>
      </c>
      <c r="F33" s="4">
        <f>0.3*C2</f>
        <v>846</v>
      </c>
      <c r="G33" s="4">
        <f>0.4*C2</f>
        <v>1128</v>
      </c>
      <c r="H33" s="4">
        <f>0.5*C2</f>
        <v>1410</v>
      </c>
      <c r="I33" s="4">
        <f>0.6*C2</f>
        <v>1692</v>
      </c>
      <c r="J33" s="4">
        <f>0.7*C2</f>
        <v>1973.9999999999998</v>
      </c>
      <c r="K33" s="4">
        <f>0.8*C2</f>
        <v>2256</v>
      </c>
      <c r="L33" s="4">
        <f>0.9*C2</f>
        <v>2538</v>
      </c>
      <c r="M33" s="4">
        <f>C2</f>
        <v>2820</v>
      </c>
    </row>
    <row r="34" spans="1:13" ht="15.95" customHeight="1">
      <c r="A34" s="14" t="s">
        <v>3</v>
      </c>
      <c r="B34" s="14"/>
      <c r="C34" s="6">
        <f>IF(C33&lt;=E30,D32*C33/1000,IF(C33&lt;=E30+H30,B30*H30*(H31*C33/C2-(C33-E30)^2/(2*H30))/10^6,B30*H30*D31*(1-C33/C2)/10^6))</f>
        <v>0</v>
      </c>
      <c r="D34" s="6">
        <f>IF(D33&lt;=E30,D32*D33/1000,IF(D33&lt;=E30+H30,B30*H30*(H31*D33/C2-(D33-E30)^2/(2*H30))/10^6,B30*H30*D31*(1-D33/C2)/10^6))</f>
        <v>0</v>
      </c>
      <c r="E34" s="6">
        <f>IF(E33&lt;=E30,D32*E33/1000,IF(E33&lt;=E30+H30,B30*H30*(H31*E33/C2-(E33-E30)^2/(2*H30))/10^6,B30*H30*D31*(1-E33/C2)/10^6))</f>
        <v>0</v>
      </c>
      <c r="F34" s="6">
        <f>IF(F33&lt;=E30,D32*F33/1000,IF(F33&lt;=E30+H30,B30*H30*(H31*F33/C2-(F33-E30)^2/(2*H30))/10^6,B30*H30*D31*(1-F33/C2)/10^6))</f>
        <v>0</v>
      </c>
      <c r="G34" s="6">
        <f>IF(G33&lt;=E30,D32*G33/1000,IF(G33&lt;=E30+H30,B30*H30*(H31*G33/C2-(G33-E30)^2/(2*H30))/10^6,B30*H30*D31*(1-G33/C2)/10^6))</f>
        <v>0</v>
      </c>
      <c r="H34" s="6">
        <f>IF(H33&lt;=E30,D32*H33/1000,IF(H33&lt;=E30+H30,B30*H30*(H31*H33/C2-(H33-E30)^2/(2*H30))/10^6,B30*H30*D31*(1-H33/C2)/10^6))</f>
        <v>0</v>
      </c>
      <c r="I34" s="6">
        <f>IF(I33&lt;=E30,D32*I33/1000,IF(I33&lt;=E30+H30,B30*H30*(H31*I33/C2-(I33-E30)^2/(2*H30))/10^6,B30*H30*D31*(1-I33/C2)/10^6))</f>
        <v>0</v>
      </c>
      <c r="J34" s="6">
        <f>IF(J33&lt;=E30,D32*J33/1000,IF(J33&lt;=E30+H30,B30*H30*(H31*J33/C2-(J33-E30)^2/(2*H30))/10^6,B30*H30*D31*(1-J33/C2)/10^6))</f>
        <v>0</v>
      </c>
      <c r="K34" s="6">
        <f>IF(K33&lt;=E30,D32*K33/1000,IF(K33&lt;=E30+H30,B30*H30*(H31*K33/C2-(K33-E30)^2/(2*H30))/10^6,B30*H30*D31*(1-K33/C2)/10^6))</f>
        <v>0</v>
      </c>
      <c r="L34" s="6">
        <f>IF(L33&lt;=E30,D32*L33/1000,IF(L33&lt;=E30+H30,B30*H30*(H31*L33/C2-(L33-E30)^2/(2*H30))/10^6,B30*H30*D31*(1-L33/C2)/10^6))</f>
        <v>0</v>
      </c>
      <c r="M34" s="6">
        <f>IF(M33&lt;=E30,D32*M33/1000,IF(M33&lt;=E30+H30,B30*H30*(H31*M33/C2-(M33-E30)^2/(2*H30))/10^6,B30*H30*D31*(1-M33/C2)/10^6))</f>
        <v>0</v>
      </c>
    </row>
    <row r="35" spans="1:13" ht="15.95" customHeight="1"/>
    <row r="36" spans="1:13" ht="15.95" customHeight="1">
      <c r="A36" s="17" t="s">
        <v>16</v>
      </c>
      <c r="B36" s="17"/>
    </row>
    <row r="37" spans="1:13" ht="15.95" customHeight="1">
      <c r="A37" s="4" t="s">
        <v>9</v>
      </c>
      <c r="B37" s="12">
        <v>0</v>
      </c>
      <c r="C37" s="14" t="s">
        <v>10</v>
      </c>
      <c r="D37" s="14"/>
      <c r="E37" s="12">
        <v>300</v>
      </c>
      <c r="F37" s="14" t="s">
        <v>11</v>
      </c>
      <c r="G37" s="14"/>
      <c r="H37" s="12">
        <v>400</v>
      </c>
    </row>
    <row r="38" spans="1:13" ht="15.95" customHeight="1">
      <c r="A38" s="14" t="s">
        <v>12</v>
      </c>
      <c r="B38" s="14"/>
      <c r="C38" s="14"/>
      <c r="D38" s="3">
        <f>E37+H37/2</f>
        <v>500</v>
      </c>
      <c r="E38" s="14" t="s">
        <v>13</v>
      </c>
      <c r="F38" s="14"/>
      <c r="G38" s="14"/>
      <c r="H38" s="3">
        <f>C2-D38</f>
        <v>2320</v>
      </c>
    </row>
    <row r="39" spans="1:13" ht="15.95" customHeight="1">
      <c r="A39" s="14" t="s">
        <v>14</v>
      </c>
      <c r="B39" s="14"/>
      <c r="C39" s="14"/>
      <c r="D39" s="3">
        <f>B37*H37*H38/C2/1000</f>
        <v>0</v>
      </c>
      <c r="E39" s="14" t="s">
        <v>15</v>
      </c>
      <c r="F39" s="14"/>
      <c r="G39" s="14"/>
      <c r="H39" s="3">
        <f>B37*H37*D38/C2/1000</f>
        <v>0</v>
      </c>
    </row>
    <row r="40" spans="1:13" ht="15.95" customHeight="1">
      <c r="A40" s="14" t="s">
        <v>6</v>
      </c>
      <c r="B40" s="15"/>
      <c r="C40" s="4">
        <v>0</v>
      </c>
      <c r="D40" s="4">
        <f>0.1*C2</f>
        <v>282</v>
      </c>
      <c r="E40" s="4">
        <f>0.2*C2</f>
        <v>564</v>
      </c>
      <c r="F40" s="4">
        <f>0.3*C2</f>
        <v>846</v>
      </c>
      <c r="G40" s="4">
        <f>0.4*C2</f>
        <v>1128</v>
      </c>
      <c r="H40" s="4">
        <f>0.5*C2</f>
        <v>1410</v>
      </c>
      <c r="I40" s="4">
        <f>0.6*C2</f>
        <v>1692</v>
      </c>
      <c r="J40" s="4">
        <f>0.7*C2</f>
        <v>1973.9999999999998</v>
      </c>
      <c r="K40" s="4">
        <f>0.8*C2</f>
        <v>2256</v>
      </c>
      <c r="L40" s="4">
        <f>0.9*C2</f>
        <v>2538</v>
      </c>
      <c r="M40" s="4">
        <f>C2</f>
        <v>2820</v>
      </c>
    </row>
    <row r="41" spans="1:13" ht="15.95" customHeight="1">
      <c r="A41" s="14" t="s">
        <v>3</v>
      </c>
      <c r="B41" s="14"/>
      <c r="C41" s="6">
        <f>IF(C40&lt;=E37,D39*C40/1000,IF(C40&lt;=E37+H37,B37*H37*(H38*C40/C2-(C40-E37)^2/(2*H37))/10^6,B37*H37*D38*(1-C40/C2)/10^6))</f>
        <v>0</v>
      </c>
      <c r="D41" s="6">
        <f>IF(D40&lt;=E37,D39*D40/1000,IF(D40&lt;=E37+H37,B37*H37*(H38*D40/C2-(D40-E37)^2/(2*H37))/10^6,B37*H37*D38*(1-D40/C2)/10^6))</f>
        <v>0</v>
      </c>
      <c r="E41" s="6">
        <f>IF(E40&lt;=E37,D39*E40/1000,IF(E40&lt;=E37+H37,B37*H37*(H38*E40/C2-(E40-E37)^2/(2*H37))/10^6,B37*H37*D38*(1-E40/C2)/10^6))</f>
        <v>0</v>
      </c>
      <c r="F41" s="6">
        <f>IF(F40&lt;=E37,D39*F40/1000,IF(F40&lt;=E37+H37,B37*H37*(H38*F40/C2-(F40-E37)^2/(2*H37))/10^6,B37*H37*D38*(1-F40/C2)/10^6))</f>
        <v>0</v>
      </c>
      <c r="G41" s="6">
        <f>IF(G40&lt;=E37,D39*G40/1000,IF(G40&lt;=E37+H37,B37*H37*(H38*G40/C2-(G40-E37)^2/(2*H37))/10^6,B37*H37*D38*(1-G40/C2)/10^6))</f>
        <v>0</v>
      </c>
      <c r="H41" s="6">
        <f>IF(H40&lt;=E37,D39*H40/1000,IF(H40&lt;=E37+H37,B37*H37*(H38*H40/C2-(H40-E37)^2/(2*H37))/10^6,B37*H37*D38*(1-H40/C2)/10^6))</f>
        <v>0</v>
      </c>
      <c r="I41" s="6">
        <f>IF(I40&lt;=E37,D39*I40/1000,IF(I40&lt;=E37+H37,B37*H37*(H38*I40/C2-(I40-E37)^2/(2*H37))/10^6,B37*H37*D38*(1-I40/C2)/10^6))</f>
        <v>0</v>
      </c>
      <c r="J41" s="6">
        <f>IF(J40&lt;=E37,D39*J40/1000,IF(J40&lt;=E37+H37,B37*H37*(H38*J40/C2-(J40-E37)^2/(2*H37))/10^6,B37*H37*D38*(1-J40/C2)/10^6))</f>
        <v>0</v>
      </c>
      <c r="K41" s="6">
        <f>IF(K40&lt;=E37,D39*K40/1000,IF(K40&lt;=E37+H37,B37*H37*(H38*K40/C2-(K40-E37)^2/(2*H37))/10^6,B37*H37*D38*(1-K40/C2)/10^6))</f>
        <v>0</v>
      </c>
      <c r="L41" s="6">
        <f>IF(L40&lt;=E37,D39*L40/1000,IF(L40&lt;=E37+H37,B37*H37*(H38*L40/C2-(L40-E37)^2/(2*H37))/10^6,B37*H37*D38*(1-L40/C2)/10^6))</f>
        <v>0</v>
      </c>
      <c r="M41" s="6">
        <f>IF(M40&lt;=E37,D39*M40/1000,IF(M40&lt;=E37+H37,B37*H37*(H38*M40/C2-(M40-E37)^2/(2*H37))/10^6,B37*H37*D38*(1-M40/C2)/10^6))</f>
        <v>0</v>
      </c>
    </row>
    <row r="42" spans="1:13" ht="15.95" customHeight="1"/>
    <row r="43" spans="1:13" ht="15.95" customHeight="1">
      <c r="A43" s="14" t="s">
        <v>17</v>
      </c>
      <c r="B43" s="14"/>
      <c r="C43" s="6">
        <f>C8+C14+C20+C27+C34+C41</f>
        <v>0</v>
      </c>
      <c r="D43" s="6">
        <f t="shared" ref="D43:M43" si="0">D8+D14+D20+D27+D34+D41</f>
        <v>0.28199999999999997</v>
      </c>
      <c r="E43" s="6">
        <f t="shared" si="0"/>
        <v>0.56399999999999995</v>
      </c>
      <c r="F43" s="6">
        <f t="shared" si="0"/>
        <v>0.84599999999999997</v>
      </c>
      <c r="G43" s="6">
        <f t="shared" si="0"/>
        <v>1.1279999999999999</v>
      </c>
      <c r="H43" s="6">
        <f t="shared" si="0"/>
        <v>1.31</v>
      </c>
      <c r="I43" s="6">
        <f t="shared" si="0"/>
        <v>1.1279999999999999</v>
      </c>
      <c r="J43" s="6">
        <f t="shared" si="0"/>
        <v>0.84600000000000009</v>
      </c>
      <c r="K43" s="6">
        <f t="shared" si="0"/>
        <v>0.56399999999999983</v>
      </c>
      <c r="L43" s="6">
        <f t="shared" si="0"/>
        <v>0.28199999999999992</v>
      </c>
      <c r="M43" s="6">
        <f t="shared" si="0"/>
        <v>0</v>
      </c>
    </row>
    <row r="44" spans="1:13" ht="15.95" customHeight="1"/>
    <row r="45" spans="1:13" ht="15.95" customHeight="1"/>
    <row r="46" spans="1:13" ht="15.95" customHeight="1"/>
    <row r="47" spans="1:13" ht="15.95" customHeight="1"/>
    <row r="48" spans="1:13" ht="15.95" customHeight="1"/>
    <row r="49" ht="15.95" customHeight="1"/>
    <row r="50" ht="15.95" customHeight="1"/>
  </sheetData>
  <mergeCells count="51">
    <mergeCell ref="A43:B43"/>
    <mergeCell ref="A39:C39"/>
    <mergeCell ref="E39:G39"/>
    <mergeCell ref="A40:B40"/>
    <mergeCell ref="A41:B41"/>
    <mergeCell ref="A33:B33"/>
    <mergeCell ref="A34:B34"/>
    <mergeCell ref="A36:B36"/>
    <mergeCell ref="C37:D37"/>
    <mergeCell ref="F37:G37"/>
    <mergeCell ref="A38:C38"/>
    <mergeCell ref="E38:G38"/>
    <mergeCell ref="A29:B29"/>
    <mergeCell ref="C30:D30"/>
    <mergeCell ref="F30:G30"/>
    <mergeCell ref="A31:C31"/>
    <mergeCell ref="E31:G31"/>
    <mergeCell ref="A32:C32"/>
    <mergeCell ref="E32:G32"/>
    <mergeCell ref="A24:C24"/>
    <mergeCell ref="E24:G24"/>
    <mergeCell ref="A25:C25"/>
    <mergeCell ref="E25:G25"/>
    <mergeCell ref="A26:B26"/>
    <mergeCell ref="A27:B27"/>
    <mergeCell ref="A19:B19"/>
    <mergeCell ref="A20:B20"/>
    <mergeCell ref="A22:B22"/>
    <mergeCell ref="C17:D17"/>
    <mergeCell ref="C23:D23"/>
    <mergeCell ref="F23:G23"/>
    <mergeCell ref="A12:C12"/>
    <mergeCell ref="E12:G12"/>
    <mergeCell ref="F17:G17"/>
    <mergeCell ref="A18:C18"/>
    <mergeCell ref="E18:G18"/>
    <mergeCell ref="A13:B13"/>
    <mergeCell ref="A14:B14"/>
    <mergeCell ref="A16:B16"/>
    <mergeCell ref="A1:B1"/>
    <mergeCell ref="A4:B4"/>
    <mergeCell ref="C5:D5"/>
    <mergeCell ref="A2:B2"/>
    <mergeCell ref="C11:D11"/>
    <mergeCell ref="F11:G11"/>
    <mergeCell ref="F5:G5"/>
    <mergeCell ref="A7:B7"/>
    <mergeCell ref="A8:B8"/>
    <mergeCell ref="A6:C6"/>
    <mergeCell ref="E6:G6"/>
    <mergeCell ref="A10:B10"/>
  </mergeCells>
  <phoneticPr fontId="1" type="noConversion"/>
  <conditionalFormatting sqref="C43:M43">
    <cfRule type="cellIs" dxfId="0" priority="1" stopIfTrue="1" operator="equal">
      <formula>MAX($C$43:$M$43)</formula>
    </cfRule>
  </conditionalFormatting>
  <dataValidations count="10">
    <dataValidation type="decimal" operator="lessThanOrEqual" showInputMessage="1" showErrorMessage="1" error="a&gt;l，错误！请重新输入。" sqref="E5">
      <formula1>C2</formula1>
    </dataValidation>
    <dataValidation type="decimal" operator="lessThanOrEqual" showInputMessage="1" showErrorMessage="1" error="a&gt;l，错误！请重新输入。" sqref="E11">
      <formula1>C2</formula1>
    </dataValidation>
    <dataValidation type="decimal" operator="lessThanOrEqual" showInputMessage="1" showErrorMessage="1" error="a&gt;l，错误！请重新输入。" sqref="E17">
      <formula1>C2</formula1>
    </dataValidation>
    <dataValidation type="decimal" operator="lessThan" showInputMessage="1" showErrorMessage="1" error="a&gt;l，错误！请重新输入。" sqref="E23">
      <formula1>C2</formula1>
    </dataValidation>
    <dataValidation type="decimal" operator="lessThanOrEqual" showInputMessage="1" showErrorMessage="1" error="a&gt;l，错误！请重新输入。" sqref="H23">
      <formula1>C2</formula1>
    </dataValidation>
    <dataValidation operator="lessThan" showInputMessage="1" showErrorMessage="1" sqref="D24 D31 D38"/>
    <dataValidation type="decimal" operator="lessThan" showInputMessage="1" showErrorMessage="1" error="a&gt;l，错误！请重新输入。" sqref="E30">
      <formula1>C2</formula1>
    </dataValidation>
    <dataValidation type="decimal" operator="lessThanOrEqual" showInputMessage="1" showErrorMessage="1" error="a&gt;l，错误！请重新输入。" sqref="H30">
      <formula1>C2</formula1>
    </dataValidation>
    <dataValidation type="decimal" operator="lessThan" showInputMessage="1" showErrorMessage="1" error="a&gt;l，错误！请重新输入。" sqref="E37">
      <formula1>C2</formula1>
    </dataValidation>
    <dataValidation type="decimal" operator="lessThanOrEqual" showInputMessage="1" showErrorMessage="1" error="a&gt;l，错误！请重新输入。" sqref="H37">
      <formula1>C2</formula1>
    </dataValidation>
  </dataValidations>
  <printOptions horizontalCentered="1"/>
  <pageMargins left="0.74803149606299213" right="0.74803149606299213" top="0.78740157480314965" bottom="0.78740157480314965" header="0.51181102362204722" footer="0.51181102362204722"/>
  <pageSetup paperSize="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0"/>
  <sheetViews>
    <sheetView tabSelected="1" workbookViewId="0">
      <selection activeCell="F10" sqref="F10"/>
    </sheetView>
  </sheetViews>
  <sheetFormatPr defaultRowHeight="14.25"/>
  <cols>
    <col min="1" max="1" width="40.625" style="1" customWidth="1"/>
    <col min="2" max="2" width="9.625" style="1" customWidth="1"/>
    <col min="3" max="3" width="20.625" style="1" customWidth="1"/>
    <col min="4" max="4" width="9.625" style="1" customWidth="1"/>
  </cols>
  <sheetData>
    <row r="1" spans="1:4" ht="15.95" customHeight="1">
      <c r="A1" s="19" t="s">
        <v>19</v>
      </c>
    </row>
    <row r="2" spans="1:4" ht="15.95" customHeight="1">
      <c r="A2" s="19"/>
    </row>
    <row r="3" spans="1:4" ht="15.95" customHeight="1">
      <c r="A3" s="3" t="s">
        <v>20</v>
      </c>
      <c r="B3" s="10">
        <v>700</v>
      </c>
      <c r="C3" s="3" t="s">
        <v>22</v>
      </c>
      <c r="D3" s="11">
        <v>3000</v>
      </c>
    </row>
    <row r="4" spans="1:4" ht="15.95" customHeight="1">
      <c r="A4" s="3" t="s">
        <v>21</v>
      </c>
      <c r="B4" s="10">
        <v>5200</v>
      </c>
      <c r="C4" s="3" t="s">
        <v>23</v>
      </c>
      <c r="D4" s="11">
        <v>120</v>
      </c>
    </row>
    <row r="5" spans="1:4" ht="15.95" customHeight="1">
      <c r="B5" s="7"/>
      <c r="C5" s="3" t="s">
        <v>24</v>
      </c>
      <c r="D5" s="11">
        <v>0</v>
      </c>
    </row>
    <row r="6" spans="1:4" ht="15.95" customHeight="1">
      <c r="A6" s="14" t="s">
        <v>28</v>
      </c>
      <c r="B6" s="14"/>
      <c r="C6" s="14"/>
      <c r="D6" s="9">
        <f>B3+2*D5+D4</f>
        <v>820</v>
      </c>
    </row>
    <row r="7" spans="1:4" ht="15.95" customHeight="1">
      <c r="A7" s="14" t="s">
        <v>29</v>
      </c>
      <c r="B7" s="14"/>
      <c r="C7" s="14"/>
      <c r="D7" s="9">
        <f>B4+2*D5+D4</f>
        <v>5320</v>
      </c>
    </row>
    <row r="8" spans="1:4" ht="15.95" customHeight="1">
      <c r="B8" s="7"/>
      <c r="D8" s="7"/>
    </row>
    <row r="9" spans="1:4" ht="15.95" customHeight="1">
      <c r="A9" s="18" t="s">
        <v>26</v>
      </c>
      <c r="B9" s="18"/>
      <c r="C9" s="18"/>
      <c r="D9" s="17"/>
    </row>
    <row r="10" spans="1:4" ht="15.95" customHeight="1">
      <c r="A10" s="18"/>
      <c r="B10" s="18"/>
      <c r="C10" s="18"/>
      <c r="D10" s="17"/>
    </row>
    <row r="11" spans="1:4" ht="15.95" customHeight="1">
      <c r="A11" s="3" t="s">
        <v>25</v>
      </c>
      <c r="B11" s="14" t="str">
        <f>IF(D6&lt;D7,"",IF(D7&gt;0.6*D3,"=0.6*bcy+0.94*l","=bcy+0.7*l"))</f>
        <v/>
      </c>
      <c r="C11" s="14"/>
      <c r="D11" s="8" t="str">
        <f>IF(D6&lt;D7,"",IF(D7&gt;0.6*D3,0.6*D7+0.94*D3,D7+0.7*D3))</f>
        <v/>
      </c>
    </row>
    <row r="12" spans="1:4" ht="15.95" customHeight="1"/>
    <row r="13" spans="1:4" ht="15.95" customHeight="1">
      <c r="A13" s="18" t="s">
        <v>27</v>
      </c>
      <c r="B13" s="18"/>
      <c r="C13" s="18"/>
      <c r="D13" s="18"/>
    </row>
    <row r="14" spans="1:4" ht="15.95" customHeight="1">
      <c r="A14" s="18"/>
      <c r="B14" s="18"/>
      <c r="C14" s="18"/>
      <c r="D14" s="18"/>
    </row>
    <row r="15" spans="1:4" ht="15.95" customHeight="1">
      <c r="A15" s="3" t="s">
        <v>25</v>
      </c>
      <c r="B15" s="14" t="str">
        <f>IF(D6&lt;D7,IF(D7&gt;2.2*D3,"=bcy","=2/3*bcy+0.73*l"),"")</f>
        <v>=2/3*bcy+0.73*l</v>
      </c>
      <c r="C15" s="14"/>
      <c r="D15" s="8">
        <f>IF(D6&lt;D7,IF(D7&gt;2.2*D3,D7,2/3*D7+0.73*D3),"")</f>
        <v>5736.6666666666661</v>
      </c>
    </row>
    <row r="16" spans="1:4" ht="15.95" customHeight="1"/>
    <row r="17" spans="1:4" ht="15.95" customHeight="1"/>
    <row r="18" spans="1:4" ht="15.95" customHeight="1">
      <c r="A18" s="14" t="s">
        <v>30</v>
      </c>
      <c r="B18" s="14"/>
      <c r="C18" s="14"/>
      <c r="D18" s="12">
        <v>0.6</v>
      </c>
    </row>
    <row r="19" spans="1:4" ht="15.95" customHeight="1">
      <c r="A19" s="14" t="s">
        <v>31</v>
      </c>
      <c r="B19" s="14"/>
      <c r="C19" s="14"/>
      <c r="D19" s="13">
        <f>IF(D6&lt;D7,8*D18/(D15*D3^2*10^(-9)),8*D18/(D11*D3^2*10^(-9)))</f>
        <v>9.2969203951191168E-2</v>
      </c>
    </row>
    <row r="20" spans="1:4" ht="15.95" customHeight="1"/>
    <row r="21" spans="1:4" ht="15.95" customHeight="1"/>
    <row r="22" spans="1:4" ht="15.95" customHeight="1"/>
    <row r="23" spans="1:4" ht="15.95" customHeight="1"/>
    <row r="24" spans="1:4" ht="15.95" customHeight="1"/>
    <row r="25" spans="1:4" ht="15.95" customHeight="1"/>
    <row r="26" spans="1:4" ht="15.95" customHeight="1"/>
    <row r="27" spans="1:4" ht="15.95" customHeight="1"/>
    <row r="28" spans="1:4" ht="15.95" customHeight="1"/>
    <row r="29" spans="1:4" ht="15.95" customHeight="1"/>
    <row r="30" spans="1:4" ht="15.95" customHeight="1"/>
    <row r="31" spans="1:4" ht="15.95" customHeight="1"/>
    <row r="32" spans="1:4" ht="15.95" customHeight="1"/>
    <row r="33" ht="15.95" customHeight="1"/>
    <row r="34" ht="15.95" customHeight="1"/>
    <row r="35" ht="15.95" customHeight="1"/>
    <row r="36" ht="15.95" customHeight="1"/>
    <row r="37" ht="15.95" customHeight="1"/>
    <row r="38" ht="15.95" customHeight="1"/>
    <row r="39" ht="15.95" customHeight="1"/>
    <row r="40" ht="15.95" customHeight="1"/>
  </sheetData>
  <mergeCells count="9">
    <mergeCell ref="A19:C19"/>
    <mergeCell ref="A13:D14"/>
    <mergeCell ref="A1:A2"/>
    <mergeCell ref="A9:D10"/>
    <mergeCell ref="A6:C6"/>
    <mergeCell ref="A7:C7"/>
    <mergeCell ref="B11:C11"/>
    <mergeCell ref="B15:C15"/>
    <mergeCell ref="A18:C18"/>
  </mergeCells>
  <phoneticPr fontId="1" type="noConversion"/>
  <dataValidations count="1">
    <dataValidation type="whole" operator="greaterThanOrEqual" allowBlank="1" showInputMessage="1" showErrorMessage="1" error="输入值&lt;0，错误！请重新输入。" sqref="D3:D5">
      <formula1>0</formula1>
    </dataValidation>
  </dataValidations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简支板</vt:lpstr>
      <vt:lpstr>有效分布宽度</vt:lpstr>
    </vt:vector>
  </TitlesOfParts>
  <Company>SIAD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ZWX</dc:creator>
  <cp:lastModifiedBy>cdel</cp:lastModifiedBy>
  <cp:lastPrinted>2002-04-03T01:49:53Z</cp:lastPrinted>
  <dcterms:created xsi:type="dcterms:W3CDTF">2001-11-27T00:20:08Z</dcterms:created>
  <dcterms:modified xsi:type="dcterms:W3CDTF">2012-08-15T06:06:35Z</dcterms:modified>
</cp:coreProperties>
</file>